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35" activeTab="0"/>
  </bookViews>
  <sheets>
    <sheet name="Cité type" sheetId="1" r:id="rId1"/>
  </sheets>
  <definedNames>
    <definedName name="Guerriers_total">'Cité type'!$C$10</definedName>
    <definedName name="Pop_totale">'Cité type'!$F$1</definedName>
  </definedNames>
  <calcPr fullCalcOnLoad="1"/>
</workbook>
</file>

<file path=xl/comments1.xml><?xml version="1.0" encoding="utf-8"?>
<comments xmlns="http://schemas.openxmlformats.org/spreadsheetml/2006/main">
  <authors>
    <author>Xavier POCQUET</author>
  </authors>
  <commentList>
    <comment ref="A32" authorId="0">
      <text>
        <r>
          <rPr>
            <sz val="8"/>
            <rFont val="Tahoma"/>
            <family val="0"/>
          </rPr>
          <t>Monastères pour paladins et écuyers</t>
        </r>
      </text>
    </comment>
    <comment ref="A33" authorId="0">
      <text>
        <r>
          <rPr>
            <sz val="8"/>
            <rFont val="Tahoma"/>
            <family val="0"/>
          </rPr>
          <t>Futurs paladins</t>
        </r>
      </text>
    </comment>
    <comment ref="B46" authorId="0">
      <text>
        <r>
          <rPr>
            <sz val="8"/>
            <rFont val="Tahoma"/>
            <family val="0"/>
          </rPr>
          <t>=nightblades</t>
        </r>
      </text>
    </comment>
    <comment ref="B39" authorId="0">
      <text>
        <r>
          <rPr>
            <sz val="8"/>
            <rFont val="Tahoma"/>
            <family val="0"/>
          </rPr>
          <t>=Healers</t>
        </r>
      </text>
    </comment>
    <comment ref="B40" authorId="0">
      <text>
        <r>
          <rPr>
            <sz val="8"/>
            <rFont val="Tahoma"/>
            <family val="0"/>
          </rPr>
          <t>=Lay healers</t>
        </r>
      </text>
    </comment>
    <comment ref="F23" authorId="0">
      <text>
        <r>
          <rPr>
            <sz val="8"/>
            <rFont val="Tahoma"/>
            <family val="0"/>
          </rPr>
          <t>Les druides ne viennent qu'exceptionnellement en ville. Ce nombre indique les druides résidant dans la région</t>
        </r>
      </text>
    </comment>
    <comment ref="F34" authorId="0">
      <text>
        <r>
          <rPr>
            <sz val="8"/>
            <rFont val="Tahoma"/>
            <family val="0"/>
          </rPr>
          <t>Les barbares ne viennent qu'exceptionnellement en ville. Ce nombre indique les barbares résidant dans la région</t>
        </r>
      </text>
    </comment>
    <comment ref="F36" authorId="0">
      <text>
        <r>
          <rPr>
            <sz val="8"/>
            <rFont val="Tahoma"/>
            <family val="0"/>
          </rPr>
          <t>S'ajoutent à la population totale (spécial villes de garnison)</t>
        </r>
      </text>
    </comment>
  </commentList>
</comments>
</file>

<file path=xl/sharedStrings.xml><?xml version="1.0" encoding="utf-8"?>
<sst xmlns="http://schemas.openxmlformats.org/spreadsheetml/2006/main" count="104" uniqueCount="82">
  <si>
    <t>POPULATION TOTALE DE LA CITE :</t>
  </si>
  <si>
    <t>Niveau</t>
  </si>
  <si>
    <t>DONT</t>
  </si>
  <si>
    <t>Sous-officiers</t>
  </si>
  <si>
    <t>Officiers supérieurs</t>
  </si>
  <si>
    <t>Généraux</t>
  </si>
  <si>
    <t>MONASTERES</t>
  </si>
  <si>
    <t>Total Moines</t>
  </si>
  <si>
    <t>Soldats</t>
  </si>
  <si>
    <t>Moines guerriers novices</t>
  </si>
  <si>
    <t>Moines guerriers</t>
  </si>
  <si>
    <t>Maîtres moines guerriers</t>
  </si>
  <si>
    <t>Moines novices</t>
  </si>
  <si>
    <t>10-+</t>
  </si>
  <si>
    <t>Maîtres moines</t>
  </si>
  <si>
    <t>Monastères</t>
  </si>
  <si>
    <t>EGLISES - TEMPLES</t>
  </si>
  <si>
    <t>Clergé</t>
  </si>
  <si>
    <t>Temples</t>
  </si>
  <si>
    <t>Retraites</t>
  </si>
  <si>
    <t>Ecuyers</t>
  </si>
  <si>
    <t>Paladins</t>
  </si>
  <si>
    <t>Paladins errants</t>
  </si>
  <si>
    <t>GUERISSEURS</t>
  </si>
  <si>
    <t>Total guérisseurs</t>
  </si>
  <si>
    <t>Guérisseurs séculiers</t>
  </si>
  <si>
    <t>Guérisseurs religieux</t>
  </si>
  <si>
    <t>Cliniques</t>
  </si>
  <si>
    <t>CLANDESTINS</t>
  </si>
  <si>
    <t>Total clandestins</t>
  </si>
  <si>
    <t>Lames nocturnes</t>
  </si>
  <si>
    <t>Voleurs</t>
  </si>
  <si>
    <t>Rogues</t>
  </si>
  <si>
    <t>MAITRES DE L'ESSENCE</t>
  </si>
  <si>
    <t>Alchimistes</t>
  </si>
  <si>
    <t>Magiciens</t>
  </si>
  <si>
    <t>Illusionistes</t>
  </si>
  <si>
    <t>Bardes</t>
  </si>
  <si>
    <t>RODEURS</t>
  </si>
  <si>
    <t>AGENTS SPECIAUX</t>
  </si>
  <si>
    <t>Sorciers</t>
  </si>
  <si>
    <t>Mystiques</t>
  </si>
  <si>
    <t>Agences</t>
  </si>
  <si>
    <t>ERUDITS</t>
  </si>
  <si>
    <t>Astrologues</t>
  </si>
  <si>
    <t>Devins</t>
  </si>
  <si>
    <t>Observatoires</t>
  </si>
  <si>
    <t>DRUIDES</t>
  </si>
  <si>
    <t>Druides</t>
  </si>
  <si>
    <t>Bosquets sacrés</t>
  </si>
  <si>
    <t>ANIMISTES</t>
  </si>
  <si>
    <t>MENTALISTES</t>
  </si>
  <si>
    <t>ARCHIMAGES</t>
  </si>
  <si>
    <t>BARBARES</t>
  </si>
  <si>
    <t>DIVERS</t>
  </si>
  <si>
    <t>Paysans</t>
  </si>
  <si>
    <t>Artisans</t>
  </si>
  <si>
    <t>Marchands</t>
  </si>
  <si>
    <t>Académies de magie</t>
  </si>
  <si>
    <t>Administration</t>
  </si>
  <si>
    <t>Théâtres</t>
  </si>
  <si>
    <t>1-3</t>
  </si>
  <si>
    <t>3-5</t>
  </si>
  <si>
    <t>4-8</t>
  </si>
  <si>
    <t>7-10</t>
  </si>
  <si>
    <t>Officiers subalternes</t>
  </si>
  <si>
    <t>5-+</t>
  </si>
  <si>
    <t>Moines</t>
  </si>
  <si>
    <t>4-+</t>
  </si>
  <si>
    <t>THEÂTRES</t>
  </si>
  <si>
    <t>Personnel théâtral</t>
  </si>
  <si>
    <t>Total guerriers</t>
  </si>
  <si>
    <t>MILICE-ARMEE</t>
  </si>
  <si>
    <t>ARMEE-MARINE</t>
  </si>
  <si>
    <t>Total soldats (Terre)</t>
  </si>
  <si>
    <t>Total Marins</t>
  </si>
  <si>
    <t>Matelots</t>
  </si>
  <si>
    <t>Amiraux</t>
  </si>
  <si>
    <t>Navires</t>
  </si>
  <si>
    <t>Galères</t>
  </si>
  <si>
    <t>Trirèmes</t>
  </si>
  <si>
    <t>Quinquérèmes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</si>
</sst>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1" fontId="4" fillId="2" borderId="0" xfId="0" applyNumberFormat="1" applyFont="1" applyFill="1" applyAlignment="1">
      <alignment/>
    </xf>
    <xf numFmtId="3" fontId="1" fillId="0" borderId="2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C9" sqref="C9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7.57421875" style="2" bestFit="1" customWidth="1"/>
    <col min="4" max="4" width="6.421875" style="1" bestFit="1" customWidth="1"/>
    <col min="5" max="5" width="2.28125" style="0" customWidth="1"/>
    <col min="6" max="6" width="18.421875" style="0" bestFit="1" customWidth="1"/>
    <col min="7" max="7" width="18.00390625" style="0" bestFit="1" customWidth="1"/>
    <col min="8" max="8" width="6.57421875" style="0" bestFit="1" customWidth="1"/>
  </cols>
  <sheetData>
    <row r="1" spans="1:8" ht="13.5" thickBot="1">
      <c r="A1" s="5"/>
      <c r="B1" s="6" t="s">
        <v>0</v>
      </c>
      <c r="C1" s="7"/>
      <c r="D1" s="8"/>
      <c r="E1" s="5"/>
      <c r="F1" s="17">
        <v>100000</v>
      </c>
      <c r="G1" s="5"/>
      <c r="H1" s="5"/>
    </row>
    <row r="2" spans="1:8" ht="12.75">
      <c r="A2" s="6"/>
      <c r="B2" s="5"/>
      <c r="C2" s="9"/>
      <c r="D2" s="8"/>
      <c r="E2" s="5"/>
      <c r="F2" s="5"/>
      <c r="G2" s="5"/>
      <c r="H2" s="5"/>
    </row>
    <row r="3" spans="1:8" ht="12.75">
      <c r="A3" s="10" t="s">
        <v>54</v>
      </c>
      <c r="B3" s="5"/>
      <c r="C3" s="9">
        <f>Pop_totale-SUM(C10,C18,C29,C33:C35,C38,C45,C51:C53,H4:H5,H9,H12:H13,H18:H19,H24,H28,H30,H32,H34)</f>
        <v>71136.69344444445</v>
      </c>
      <c r="D3" s="8"/>
      <c r="E3" s="11"/>
      <c r="F3" s="10" t="s">
        <v>69</v>
      </c>
      <c r="G3" s="5"/>
      <c r="H3" s="7"/>
    </row>
    <row r="4" spans="1:8" ht="12.75">
      <c r="A4" s="5" t="s">
        <v>2</v>
      </c>
      <c r="B4" s="5" t="s">
        <v>55</v>
      </c>
      <c r="C4" s="7">
        <f>C3-SUM(C5:C7)</f>
        <v>56976.69344444445</v>
      </c>
      <c r="D4" s="8"/>
      <c r="E4" s="11"/>
      <c r="F4" s="5" t="s">
        <v>37</v>
      </c>
      <c r="G4" s="5"/>
      <c r="H4" s="7">
        <f>(Pop_totale/200)*(_XLL.ALEA.ENTRE.BORNES(1,100)+_XLL.ALEA.ENTRE.BORNES(1,100))%</f>
        <v>640</v>
      </c>
    </row>
    <row r="5" spans="1:8" ht="12.75">
      <c r="A5" s="5"/>
      <c r="B5" s="5" t="s">
        <v>56</v>
      </c>
      <c r="C5" s="7">
        <f>(Pop_totale/10)*(50+_XLL.ALEA.ENTRE.BORNES(1,100))%</f>
        <v>5500</v>
      </c>
      <c r="D5" s="8"/>
      <c r="E5" s="11"/>
      <c r="F5" s="5" t="s">
        <v>70</v>
      </c>
      <c r="G5" s="5"/>
      <c r="H5" s="7">
        <f>H7*_XLL.ALEA.ENTRE.BORNES(1,100)</f>
        <v>4622.222222222223</v>
      </c>
    </row>
    <row r="6" spans="1:8" ht="12.75">
      <c r="A6" s="5"/>
      <c r="B6" s="5" t="s">
        <v>57</v>
      </c>
      <c r="C6" s="7">
        <f>(Pop_totale/20)*(50+_XLL.ALEA.ENTRE.BORNES(1,100))%</f>
        <v>7200</v>
      </c>
      <c r="D6" s="8"/>
      <c r="E6" s="11"/>
      <c r="F6" s="5"/>
      <c r="G6" s="5"/>
      <c r="H6" s="7"/>
    </row>
    <row r="7" spans="1:8" ht="12.75">
      <c r="A7" s="5"/>
      <c r="B7" s="5" t="s">
        <v>59</v>
      </c>
      <c r="C7" s="7">
        <f>(Pop_totale/100)*(_XLL.ALEA.ENTRE.BORNES(1,100)+_XLL.ALEA.ENTRE.BORNES(1,100))%</f>
        <v>1460</v>
      </c>
      <c r="D7" s="8"/>
      <c r="E7" s="11"/>
      <c r="F7" s="12" t="s">
        <v>60</v>
      </c>
      <c r="G7" s="12"/>
      <c r="H7" s="13">
        <f>H4/(_XLL.ALEA.ENTRE.BORNES(1,10)+_XLL.ALEA.ENTRE.BORNES(1,10))</f>
        <v>71.11111111111111</v>
      </c>
    </row>
    <row r="8" spans="1:8" ht="12.75">
      <c r="A8" s="5"/>
      <c r="B8" s="5"/>
      <c r="C8" s="7"/>
      <c r="D8" s="8"/>
      <c r="E8" s="11"/>
      <c r="F8" s="5"/>
      <c r="G8" s="5"/>
      <c r="H8" s="7"/>
    </row>
    <row r="9" spans="1:8" ht="12.75">
      <c r="A9" s="10" t="s">
        <v>72</v>
      </c>
      <c r="B9" s="5"/>
      <c r="C9" s="7"/>
      <c r="D9" s="8" t="s">
        <v>1</v>
      </c>
      <c r="E9" s="11"/>
      <c r="F9" s="10" t="s">
        <v>38</v>
      </c>
      <c r="G9" s="5"/>
      <c r="H9" s="7">
        <f>(Guerriers_total/10)*(_XLL.ALEA.ENTRE.BORNES(1,100)+_XLL.ALEA.ENTRE.BORNES(1,100))%</f>
        <v>1769.6000000000004</v>
      </c>
    </row>
    <row r="10" spans="1:8" ht="12.75">
      <c r="A10" s="5" t="s">
        <v>71</v>
      </c>
      <c r="B10" s="5"/>
      <c r="C10" s="7">
        <f>(Pop_totale/10)*(_XLL.ALEA.ENTRE.BORNES(0,100)+50)%</f>
        <v>11200.000000000002</v>
      </c>
      <c r="D10" s="8"/>
      <c r="E10" s="11"/>
      <c r="F10" s="5"/>
      <c r="G10" s="5"/>
      <c r="H10" s="7"/>
    </row>
    <row r="11" spans="1:8" ht="12.75">
      <c r="A11" s="5" t="s">
        <v>2</v>
      </c>
      <c r="B11" s="5" t="s">
        <v>8</v>
      </c>
      <c r="C11" s="7">
        <f>Guerriers_total-SUM(C12:C15)</f>
        <v>9802.240000000002</v>
      </c>
      <c r="D11" s="8" t="s">
        <v>61</v>
      </c>
      <c r="E11" s="11"/>
      <c r="F11" s="10" t="s">
        <v>39</v>
      </c>
      <c r="G11" s="5"/>
      <c r="H11" s="7"/>
    </row>
    <row r="12" spans="1:8" ht="12.75">
      <c r="A12" s="5"/>
      <c r="B12" s="5" t="s">
        <v>3</v>
      </c>
      <c r="C12" s="7">
        <f>Guerriers_total/10</f>
        <v>1120.0000000000002</v>
      </c>
      <c r="D12" s="8" t="s">
        <v>62</v>
      </c>
      <c r="E12" s="11"/>
      <c r="F12" s="14" t="s">
        <v>40</v>
      </c>
      <c r="G12" s="5"/>
      <c r="H12" s="7">
        <f>(Pop_totale/1000)*(_XLL.ALEA.ENTRE.BORNES(1,100)+_XLL.ALEA.ENTRE.BORNES(1,100))%</f>
        <v>157</v>
      </c>
    </row>
    <row r="13" spans="1:8" ht="12.75">
      <c r="A13" s="5"/>
      <c r="B13" s="5" t="s">
        <v>65</v>
      </c>
      <c r="C13" s="7">
        <f>C12/5</f>
        <v>224.00000000000006</v>
      </c>
      <c r="D13" s="8" t="s">
        <v>63</v>
      </c>
      <c r="E13" s="11"/>
      <c r="F13" s="14" t="s">
        <v>41</v>
      </c>
      <c r="G13" s="5"/>
      <c r="H13" s="7">
        <f>(Pop_totale/1000)*(_XLL.ALEA.ENTRE.BORNES(1,100)+_XLL.ALEA.ENTRE.BORNES(1,100))%</f>
        <v>117</v>
      </c>
    </row>
    <row r="14" spans="1:8" ht="12.75">
      <c r="A14" s="5"/>
      <c r="B14" s="5" t="s">
        <v>4</v>
      </c>
      <c r="C14" s="7">
        <f>C13/5</f>
        <v>44.80000000000001</v>
      </c>
      <c r="D14" s="8" t="s">
        <v>64</v>
      </c>
      <c r="E14" s="11"/>
      <c r="F14" s="14"/>
      <c r="G14" s="5"/>
      <c r="H14" s="7"/>
    </row>
    <row r="15" spans="1:8" ht="12.75">
      <c r="A15" s="5"/>
      <c r="B15" s="5" t="s">
        <v>5</v>
      </c>
      <c r="C15" s="7">
        <f>C14/5</f>
        <v>8.960000000000003</v>
      </c>
      <c r="D15" s="8" t="s">
        <v>13</v>
      </c>
      <c r="E15" s="11"/>
      <c r="F15" s="12" t="s">
        <v>42</v>
      </c>
      <c r="G15" s="12"/>
      <c r="H15" s="13">
        <f>(SUM(H12:H13)/8)*(50+_XLL.ALEA.ENTRE.BORNES(1,100))%</f>
        <v>28.4275</v>
      </c>
    </row>
    <row r="16" spans="1:8" ht="12.75">
      <c r="A16" s="5"/>
      <c r="B16" s="5"/>
      <c r="C16" s="7"/>
      <c r="D16" s="8"/>
      <c r="E16" s="11"/>
      <c r="F16" s="5"/>
      <c r="G16" s="5"/>
      <c r="H16" s="7"/>
    </row>
    <row r="17" spans="1:8" ht="12.75">
      <c r="A17" s="10" t="s">
        <v>6</v>
      </c>
      <c r="B17" s="5"/>
      <c r="C17" s="7"/>
      <c r="D17" s="8"/>
      <c r="E17" s="11"/>
      <c r="F17" s="10" t="s">
        <v>43</v>
      </c>
      <c r="G17" s="5"/>
      <c r="H17" s="7"/>
    </row>
    <row r="18" spans="1:8" ht="12.75">
      <c r="A18" s="5" t="s">
        <v>7</v>
      </c>
      <c r="B18" s="5"/>
      <c r="C18" s="7">
        <f>SUM(C19:C24)</f>
        <v>682.5494</v>
      </c>
      <c r="D18" s="8"/>
      <c r="E18" s="11"/>
      <c r="F18" s="5" t="s">
        <v>44</v>
      </c>
      <c r="G18" s="5"/>
      <c r="H18" s="7">
        <f>(Pop_totale/600)*(_XLL.ALEA.ENTRE.BORNES(1,100)+_XLL.ALEA.ENTRE.BORNES(1,100))%</f>
        <v>286.66666666666663</v>
      </c>
    </row>
    <row r="19" spans="1:8" ht="12.75">
      <c r="A19" s="5" t="s">
        <v>2</v>
      </c>
      <c r="B19" s="5" t="s">
        <v>9</v>
      </c>
      <c r="C19" s="7">
        <f>((Pop_totale/200)*(_XLL.ALEA.ENTRE.BORNES(1,100)+_XLL.ALEA.ENTRE.BORNES(1,100))%)*0.7</f>
        <v>364</v>
      </c>
      <c r="D19" s="8" t="s">
        <v>61</v>
      </c>
      <c r="E19" s="11"/>
      <c r="F19" s="5" t="s">
        <v>45</v>
      </c>
      <c r="G19" s="5"/>
      <c r="H19" s="7">
        <f>(Pop_totale/600)*(_XLL.ALEA.ENTRE.BORNES(1,100)+_XLL.ALEA.ENTRE.BORNES(1,100))%</f>
        <v>106.66666666666666</v>
      </c>
    </row>
    <row r="20" spans="1:8" ht="12.75">
      <c r="A20" s="5"/>
      <c r="B20" s="5" t="s">
        <v>10</v>
      </c>
      <c r="C20" s="7">
        <f>C19/5</f>
        <v>72.8</v>
      </c>
      <c r="D20" s="8" t="s">
        <v>62</v>
      </c>
      <c r="E20" s="11"/>
      <c r="F20" s="5"/>
      <c r="G20" s="5"/>
      <c r="H20" s="7"/>
    </row>
    <row r="21" spans="1:8" ht="12.75">
      <c r="A21" s="5"/>
      <c r="B21" s="5" t="s">
        <v>11</v>
      </c>
      <c r="C21" s="7">
        <f>(C20/10)*(_XLL.ALEA.ENTRE.BORNES(1,100)+_XLL.ALEA.ENTRE.BORNES(1,100))%</f>
        <v>6.4064</v>
      </c>
      <c r="D21" s="8" t="s">
        <v>66</v>
      </c>
      <c r="E21" s="11"/>
      <c r="F21" s="12" t="s">
        <v>46</v>
      </c>
      <c r="G21" s="12"/>
      <c r="H21" s="13">
        <f>(SUM(H18:H19)/25)*(_XLL.ALEA.ENTRE.BORNES(1,100)+_XLL.ALEA.ENTRE.BORNES(1,100))%</f>
        <v>16.205333333333332</v>
      </c>
    </row>
    <row r="22" spans="1:8" ht="12.75">
      <c r="A22" s="5"/>
      <c r="B22" s="5" t="s">
        <v>12</v>
      </c>
      <c r="C22" s="7">
        <f>((Pop_totale/200)*(_XLL.ALEA.ENTRE.BORNES(1,100)+_XLL.ALEA.ENTRE.BORNES(1,100))%)*0.3</f>
        <v>195</v>
      </c>
      <c r="D22" s="8" t="s">
        <v>61</v>
      </c>
      <c r="E22" s="11"/>
      <c r="F22" s="5"/>
      <c r="G22" s="5"/>
      <c r="H22" s="7"/>
    </row>
    <row r="23" spans="1:8" ht="12.75">
      <c r="A23" s="5"/>
      <c r="B23" s="5" t="s">
        <v>67</v>
      </c>
      <c r="C23" s="7">
        <f>C22/5</f>
        <v>39</v>
      </c>
      <c r="D23" s="8" t="s">
        <v>62</v>
      </c>
      <c r="E23" s="11"/>
      <c r="F23" s="10" t="s">
        <v>47</v>
      </c>
      <c r="G23" s="5"/>
      <c r="H23" s="7"/>
    </row>
    <row r="24" spans="1:8" ht="12.75">
      <c r="A24" s="5"/>
      <c r="B24" s="5" t="s">
        <v>14</v>
      </c>
      <c r="C24" s="7">
        <f>(C23/10)*(_XLL.ALEA.ENTRE.BORNES(1,100)+_XLL.ALEA.ENTRE.BORNES(1,100))%</f>
        <v>5.343</v>
      </c>
      <c r="D24" s="8" t="s">
        <v>66</v>
      </c>
      <c r="E24" s="11"/>
      <c r="F24" s="5" t="s">
        <v>48</v>
      </c>
      <c r="G24" s="5"/>
      <c r="H24" s="7">
        <f>(Pop_totale/1000)*(_XLL.ALEA.ENTRE.BORNES(1,100)+_XLL.ALEA.ENTRE.BORNES(1,100))%</f>
        <v>30</v>
      </c>
    </row>
    <row r="25" spans="1:8" ht="12.75">
      <c r="A25" s="5"/>
      <c r="B25" s="5"/>
      <c r="C25" s="7"/>
      <c r="D25" s="8"/>
      <c r="E25" s="11"/>
      <c r="F25" s="5"/>
      <c r="G25" s="5"/>
      <c r="H25" s="7"/>
    </row>
    <row r="26" spans="1:8" ht="12.75">
      <c r="A26" s="12" t="s">
        <v>15</v>
      </c>
      <c r="B26" s="12"/>
      <c r="C26" s="13">
        <f>(C18/100)*(50+_XLL.ALEA.ENTRE.BORNES(1,100))%</f>
        <v>8.66837738</v>
      </c>
      <c r="D26" s="8"/>
      <c r="E26" s="11"/>
      <c r="F26" s="12" t="s">
        <v>49</v>
      </c>
      <c r="G26" s="12"/>
      <c r="H26" s="13">
        <f>(H24/10)*(50+_XLL.ALEA.ENTRE.BORNES(1,100))%</f>
        <v>3.06</v>
      </c>
    </row>
    <row r="27" spans="1:8" ht="12.75">
      <c r="A27" s="5"/>
      <c r="B27" s="5"/>
      <c r="C27" s="7"/>
      <c r="D27" s="8"/>
      <c r="E27" s="11"/>
      <c r="F27" s="5"/>
      <c r="G27" s="5"/>
      <c r="H27" s="7"/>
    </row>
    <row r="28" spans="1:8" ht="12.75">
      <c r="A28" s="10" t="s">
        <v>16</v>
      </c>
      <c r="B28" s="5"/>
      <c r="C28" s="7"/>
      <c r="D28" s="8"/>
      <c r="E28" s="11"/>
      <c r="F28" s="10" t="s">
        <v>50</v>
      </c>
      <c r="G28" s="5"/>
      <c r="H28" s="7">
        <f>(Pop_totale/600)*(_XLL.ALEA.ENTRE.BORNES(1,100)+_XLL.ALEA.ENTRE.BORNES(1,100))%</f>
        <v>203.33333333333331</v>
      </c>
    </row>
    <row r="29" spans="1:8" ht="12.75">
      <c r="A29" s="5" t="s">
        <v>17</v>
      </c>
      <c r="B29" s="5"/>
      <c r="C29" s="7">
        <f>(Pop_totale/150)*(50+_XLL.ALEA.ENTRE.BORNES(1,100))%</f>
        <v>753.3333333333333</v>
      </c>
      <c r="D29" s="8"/>
      <c r="E29" s="11"/>
      <c r="F29" s="5"/>
      <c r="G29" s="5"/>
      <c r="H29" s="7"/>
    </row>
    <row r="30" spans="1:8" ht="12.75">
      <c r="A30" s="12" t="s">
        <v>18</v>
      </c>
      <c r="B30" s="12"/>
      <c r="C30" s="13">
        <f>(C29/3)+(_XLL.ALEA.ENTRE.BORNES(1,100))%</f>
        <v>251.1911111111111</v>
      </c>
      <c r="D30" s="8"/>
      <c r="E30" s="11"/>
      <c r="F30" s="10" t="s">
        <v>51</v>
      </c>
      <c r="G30" s="5"/>
      <c r="H30" s="7">
        <f>(Pop_totale/600)*(_XLL.ALEA.ENTRE.BORNES(1,100)+_XLL.ALEA.ENTRE.BORNES(1,100))%</f>
        <v>193.33333333333331</v>
      </c>
    </row>
    <row r="31" spans="1:8" ht="12.75">
      <c r="A31" s="5"/>
      <c r="B31" s="5"/>
      <c r="C31" s="7"/>
      <c r="D31" s="8"/>
      <c r="E31" s="11"/>
      <c r="F31" s="5"/>
      <c r="G31" s="5"/>
      <c r="H31" s="7"/>
    </row>
    <row r="32" spans="1:8" ht="12.75">
      <c r="A32" s="12" t="s">
        <v>19</v>
      </c>
      <c r="B32" s="12"/>
      <c r="C32" s="13">
        <f>(C30/3)*(50+_XLL.ALEA.ENTRE.BORNES(1,100))%</f>
        <v>119.73442962962962</v>
      </c>
      <c r="D32" s="8"/>
      <c r="E32" s="11"/>
      <c r="F32" s="10" t="s">
        <v>52</v>
      </c>
      <c r="G32" s="5"/>
      <c r="H32" s="7">
        <f>(SUM(C29,C38,C51:C53,H12:H13,H18:H19,H24,H28,H30)/100)*(_XLL.ALEA.ENTRE.BORNES(1,100)+_XLL.ALEA.ENTRE.BORNES(1,100))%</f>
        <v>20.6584</v>
      </c>
    </row>
    <row r="33" spans="1:8" ht="12.75">
      <c r="A33" s="5" t="s">
        <v>20</v>
      </c>
      <c r="B33" s="5"/>
      <c r="C33" s="7">
        <f>C32*_XLL.ALEA.ENTRE.BORNES(1,10)</f>
        <v>359.20328888888884</v>
      </c>
      <c r="D33" s="8" t="s">
        <v>61</v>
      </c>
      <c r="E33" s="11"/>
      <c r="F33" s="5"/>
      <c r="G33" s="5"/>
      <c r="H33" s="7"/>
    </row>
    <row r="34" spans="1:8" ht="12.75">
      <c r="A34" s="5" t="s">
        <v>21</v>
      </c>
      <c r="B34" s="5"/>
      <c r="C34" s="7">
        <f>C32*_XLL.ALEA.ENTRE.BORNES(1,5)</f>
        <v>598.672148148148</v>
      </c>
      <c r="D34" s="8" t="s">
        <v>68</v>
      </c>
      <c r="E34" s="11"/>
      <c r="F34" s="10" t="s">
        <v>53</v>
      </c>
      <c r="G34" s="5"/>
      <c r="H34" s="7">
        <f>(Pop_totale/50)*(_XLL.ALEA.ENTRE.BORNES(1,100)+_XLL.ALEA.ENTRE.BORNES(1,100))%</f>
        <v>3340</v>
      </c>
    </row>
    <row r="35" spans="1:8" ht="12.75">
      <c r="A35" s="5" t="s">
        <v>22</v>
      </c>
      <c r="B35" s="5"/>
      <c r="C35" s="7">
        <f>C32*_XLL.ALEA.ENTRE.BORNES(1,5)</f>
        <v>119.73442962962962</v>
      </c>
      <c r="D35" s="8" t="s">
        <v>68</v>
      </c>
      <c r="E35" s="11"/>
      <c r="F35" s="5"/>
      <c r="G35" s="5"/>
      <c r="H35" s="5"/>
    </row>
    <row r="36" spans="1:8" ht="12.75">
      <c r="A36" s="5"/>
      <c r="B36" s="5"/>
      <c r="C36" s="7"/>
      <c r="D36" s="8"/>
      <c r="E36" s="11"/>
      <c r="F36" s="5" t="s">
        <v>73</v>
      </c>
      <c r="G36" s="5"/>
      <c r="H36" s="5"/>
    </row>
    <row r="37" spans="1:8" ht="12.75">
      <c r="A37" s="10" t="s">
        <v>23</v>
      </c>
      <c r="B37" s="5"/>
      <c r="C37" s="7"/>
      <c r="D37" s="8"/>
      <c r="E37" s="11"/>
      <c r="F37" s="5" t="s">
        <v>74</v>
      </c>
      <c r="G37" s="5"/>
      <c r="H37" s="7">
        <f>(Pop_totale/10)*(_XLL.ALEA.ENTRE.BORNES(0,100)+50)%</f>
        <v>9700</v>
      </c>
    </row>
    <row r="38" spans="1:8" ht="12.75">
      <c r="A38" s="5" t="s">
        <v>24</v>
      </c>
      <c r="B38" s="5"/>
      <c r="C38" s="7">
        <f>(Pop_totale/100)*(50+_XLL.ALEA.ENTRE.BORNES(1,100))%</f>
        <v>540</v>
      </c>
      <c r="D38" s="8"/>
      <c r="E38" s="11"/>
      <c r="F38" s="5" t="s">
        <v>2</v>
      </c>
      <c r="G38" s="5" t="s">
        <v>8</v>
      </c>
      <c r="H38" s="7">
        <f>Guerriers_total-SUM(H39:H42)</f>
        <v>9802.240000000002</v>
      </c>
    </row>
    <row r="39" spans="1:8" ht="12.75">
      <c r="A39" s="5" t="s">
        <v>2</v>
      </c>
      <c r="B39" s="5" t="s">
        <v>26</v>
      </c>
      <c r="C39" s="7">
        <f>C38*0.3</f>
        <v>162</v>
      </c>
      <c r="D39" s="8"/>
      <c r="E39" s="11"/>
      <c r="F39" s="5"/>
      <c r="G39" s="5" t="s">
        <v>3</v>
      </c>
      <c r="H39" s="7">
        <f>Guerriers_total/10</f>
        <v>1120.0000000000002</v>
      </c>
    </row>
    <row r="40" spans="1:8" ht="12.75">
      <c r="A40" s="5"/>
      <c r="B40" s="5" t="s">
        <v>25</v>
      </c>
      <c r="C40" s="7">
        <f>C38-C39</f>
        <v>378</v>
      </c>
      <c r="D40" s="8"/>
      <c r="E40" s="11"/>
      <c r="F40" s="5"/>
      <c r="G40" s="5" t="s">
        <v>65</v>
      </c>
      <c r="H40" s="7">
        <f>H39/5</f>
        <v>224.00000000000006</v>
      </c>
    </row>
    <row r="41" spans="1:8" ht="12.75">
      <c r="A41" s="5"/>
      <c r="B41" s="5"/>
      <c r="C41" s="7"/>
      <c r="D41" s="8"/>
      <c r="E41" s="11"/>
      <c r="F41" s="5"/>
      <c r="G41" s="5" t="s">
        <v>4</v>
      </c>
      <c r="H41" s="7">
        <f>H40/5</f>
        <v>44.80000000000001</v>
      </c>
    </row>
    <row r="42" spans="1:8" ht="12.75">
      <c r="A42" s="12" t="s">
        <v>27</v>
      </c>
      <c r="B42" s="12"/>
      <c r="C42" s="13">
        <f>C38/(_XLL.ALEA.ENTRE.BORNES(1,100)+_XLL.ALEA.ENTRE.BORNES(1,100)+_XLL.ALEA.ENTRE.BORNES(1,100))</f>
        <v>4.462809917355372</v>
      </c>
      <c r="D42" s="8"/>
      <c r="E42" s="11"/>
      <c r="F42" s="5"/>
      <c r="G42" s="5" t="s">
        <v>5</v>
      </c>
      <c r="H42" s="7">
        <f>H41/5</f>
        <v>8.960000000000003</v>
      </c>
    </row>
    <row r="43" spans="1:8" ht="12.75">
      <c r="A43" s="5"/>
      <c r="B43" s="5"/>
      <c r="C43" s="7"/>
      <c r="D43" s="8"/>
      <c r="E43" s="11"/>
      <c r="F43" s="5"/>
      <c r="G43" s="5"/>
      <c r="H43" s="5"/>
    </row>
    <row r="44" spans="1:8" ht="12.75">
      <c r="A44" s="10" t="s">
        <v>28</v>
      </c>
      <c r="B44" s="5"/>
      <c r="C44" s="7"/>
      <c r="D44" s="8"/>
      <c r="E44" s="11"/>
      <c r="F44" s="5" t="s">
        <v>75</v>
      </c>
      <c r="G44" s="5"/>
      <c r="H44" s="7">
        <f>(Pop_totale/10)*(_XLL.ALEA.ENTRE.BORNES(0,100)+50)%</f>
        <v>11000</v>
      </c>
    </row>
    <row r="45" spans="1:8" ht="12.75">
      <c r="A45" s="5" t="s">
        <v>29</v>
      </c>
      <c r="B45" s="5"/>
      <c r="C45" s="7">
        <f>(Pop_totale/50)*(_XLL.ALEA.ENTRE.BORNES(1,100)+_XLL.ALEA.ENTRE.BORNES(1,100))%</f>
        <v>1460</v>
      </c>
      <c r="D45" s="8"/>
      <c r="E45" s="11"/>
      <c r="F45" s="5" t="s">
        <v>2</v>
      </c>
      <c r="G45" s="5" t="s">
        <v>76</v>
      </c>
      <c r="H45" s="7">
        <f>Guerriers_total-SUM(H46:H49)</f>
        <v>9802.240000000002</v>
      </c>
    </row>
    <row r="46" spans="1:8" ht="12.75">
      <c r="A46" s="5" t="s">
        <v>2</v>
      </c>
      <c r="B46" s="15" t="s">
        <v>30</v>
      </c>
      <c r="C46" s="7">
        <f>C45*(_XLL.ALEA.ENTRE.BORNES(1,10)+_XLL.ALEA.ENTRE.BORNES(1,10))%</f>
        <v>102.2</v>
      </c>
      <c r="D46" s="8"/>
      <c r="E46" s="11"/>
      <c r="F46" s="5"/>
      <c r="G46" s="5" t="s">
        <v>3</v>
      </c>
      <c r="H46" s="7">
        <f>Guerriers_total/10</f>
        <v>1120.0000000000002</v>
      </c>
    </row>
    <row r="47" spans="1:8" ht="12.75">
      <c r="A47" s="5"/>
      <c r="B47" s="5" t="s">
        <v>31</v>
      </c>
      <c r="C47" s="7">
        <f>(C45-C46)*_XLL.ALEA.ENTRE.BORNES(1,100)%</f>
        <v>366.606</v>
      </c>
      <c r="D47" s="8"/>
      <c r="E47" s="11"/>
      <c r="F47" s="5"/>
      <c r="G47" s="5" t="s">
        <v>65</v>
      </c>
      <c r="H47" s="7">
        <f>H46/5</f>
        <v>224.00000000000006</v>
      </c>
    </row>
    <row r="48" spans="1:8" ht="12.75">
      <c r="A48" s="5"/>
      <c r="B48" s="5" t="s">
        <v>32</v>
      </c>
      <c r="C48" s="7">
        <f>C45-SUM(C46:C47)</f>
        <v>991.194</v>
      </c>
      <c r="D48" s="8"/>
      <c r="E48" s="11"/>
      <c r="F48" s="5"/>
      <c r="G48" s="5" t="s">
        <v>4</v>
      </c>
      <c r="H48" s="7">
        <f>H47/5</f>
        <v>44.80000000000001</v>
      </c>
    </row>
    <row r="49" spans="1:8" ht="12.75">
      <c r="A49" s="5"/>
      <c r="B49" s="5"/>
      <c r="C49" s="7"/>
      <c r="D49" s="8"/>
      <c r="E49" s="11"/>
      <c r="F49" s="5"/>
      <c r="G49" s="5" t="s">
        <v>77</v>
      </c>
      <c r="H49" s="7">
        <f>H48/5</f>
        <v>8.960000000000003</v>
      </c>
    </row>
    <row r="50" spans="1:8" ht="12.75">
      <c r="A50" s="10" t="s">
        <v>33</v>
      </c>
      <c r="B50" s="5"/>
      <c r="C50" s="7"/>
      <c r="D50" s="8"/>
      <c r="E50" s="11"/>
      <c r="F50" s="5"/>
      <c r="G50" s="5"/>
      <c r="H50" s="5"/>
    </row>
    <row r="51" spans="1:8" ht="12.75">
      <c r="A51" s="5" t="s">
        <v>34</v>
      </c>
      <c r="B51" s="5"/>
      <c r="C51" s="7">
        <f>(Pop_totale/100)*(50+_XLL.ALEA.ENTRE.BORNES(1,100))%</f>
        <v>1100</v>
      </c>
      <c r="D51" s="8"/>
      <c r="E51" s="11"/>
      <c r="F51" s="12" t="s">
        <v>78</v>
      </c>
      <c r="G51" s="12"/>
      <c r="H51" s="16">
        <f>H44/100</f>
        <v>110</v>
      </c>
    </row>
    <row r="52" spans="1:8" ht="12.75">
      <c r="A52" s="5" t="s">
        <v>35</v>
      </c>
      <c r="B52" s="5"/>
      <c r="C52" s="7">
        <f>(Pop_totale/300)*(_XLL.ALEA.ENTRE.BORNES(1,100)+_XLL.ALEA.ENTRE.BORNES(1,100))%</f>
        <v>403.3333333333333</v>
      </c>
      <c r="D52" s="8"/>
      <c r="E52" s="11"/>
      <c r="F52" s="12" t="s">
        <v>2</v>
      </c>
      <c r="G52" s="12" t="s">
        <v>79</v>
      </c>
      <c r="H52" s="16">
        <f>H51-SUM(H53:H54)</f>
        <v>83.6</v>
      </c>
    </row>
    <row r="53" spans="1:8" ht="12.75">
      <c r="A53" s="5" t="s">
        <v>36</v>
      </c>
      <c r="B53" s="5"/>
      <c r="C53" s="7">
        <f>(Pop_totale/600)*(_XLL.ALEA.ENTRE.BORNES(1,100)+_XLL.ALEA.ENTRE.BORNES(1,100))%</f>
        <v>159.99999999999997</v>
      </c>
      <c r="D53" s="8"/>
      <c r="E53" s="11"/>
      <c r="F53" s="12"/>
      <c r="G53" s="12" t="s">
        <v>80</v>
      </c>
      <c r="H53" s="16">
        <f>H51/5</f>
        <v>22</v>
      </c>
    </row>
    <row r="54" spans="1:8" ht="12.75">
      <c r="A54" s="5"/>
      <c r="B54" s="5"/>
      <c r="C54" s="7"/>
      <c r="D54" s="8"/>
      <c r="E54" s="11"/>
      <c r="F54" s="12"/>
      <c r="G54" s="12" t="s">
        <v>81</v>
      </c>
      <c r="H54" s="16">
        <f>H53/5</f>
        <v>4.4</v>
      </c>
    </row>
    <row r="55" spans="1:3" ht="12.75">
      <c r="A55" s="3" t="s">
        <v>58</v>
      </c>
      <c r="B55" s="3"/>
      <c r="C55" s="4">
        <f>(SUM(C51:C53)/100)*(50+_XLL.ALEA.ENTRE.BORNES(1,100))%</f>
        <v>9.647333333333332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RMC I, § 8.0, p. 76</dc:title>
  <dc:subject/>
  <dc:creator/>
  <cp:keywords/>
  <dc:description/>
  <cp:lastModifiedBy>Xavier POCQUET</cp:lastModifiedBy>
  <cp:lastPrinted>2003-04-28T11:26:26Z</cp:lastPrinted>
  <dcterms:created xsi:type="dcterms:W3CDTF">2003-01-27T09:16:51Z</dcterms:created>
  <dcterms:modified xsi:type="dcterms:W3CDTF">2005-01-17T12:26:50Z</dcterms:modified>
  <cp:category/>
  <cp:version/>
  <cp:contentType/>
  <cp:contentStatus/>
</cp:coreProperties>
</file>